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<sst xmlns="http://schemas.openxmlformats.org/spreadsheetml/2006/main" count="707" uniqueCount="237">
  <si>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</si>
  <si>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</si>
  <si>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</si>
  <si>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</si>
  <si>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</si>
  <si>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</si>
  <si>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</si>
  <si>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</si>
  <si>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</si>
  <si>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</si>
  <si>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</si>
  <si>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</si>
  <si>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</si>
  <si>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</si>
  <si>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</si>
  <si>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</si>
  <si>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</si>
  <si>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</si>
  <si>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</si>
  <si>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</si>
  <si>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</si>
  <si>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</si>
  <si>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</si>
  <si>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</si>
  <si>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</si>
  <si>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</si>
  <si>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</si>
  <si>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</si>
  <si>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</si>
  <si>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</si>
  <si>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</si>
  <si>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</si>
  <si>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</si>
  <si>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</si>
  <si>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</si>
  <si>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</si>
  <si>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</si>
  <si>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</si>
  <si>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</si>
  <si>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</si>
  <si>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</si>
  <si>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</si>
  <si>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</si>
  <si>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</si>
  <si>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</si>
  <si>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</si>
  <si>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</si>
  <si>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</si>
  <si>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</si>
  <si>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</si>
  <si>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</si>
  <si>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</si>
  <si>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</si>
  <si>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</si>
  <si>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</si>
  <si>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</si>
  <si>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</si>
  <si>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</si>
  <si>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</si>
  <si>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</si>
  <si>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</si>
  <si>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</si>
  <si>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</si>
  <si>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</si>
  <si>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</si>
  <si>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</si>
  <si>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</si>
  <si>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</si>
  <si>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</si>
  <si>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</si>
  <si>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</si>
  <si>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</si>
  <si>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</si>
  <si>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</si>
  <si>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</si>
  <si>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</si>
  <si>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</si>
  <si>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</si>
  <si>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</si>
  <si>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</si>
  <si>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</si>
  <si>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</si>
  <si>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</si>
  <si>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</si>
  <si>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</si>
  <si>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</si>
  <si>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</si>
  <si>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</si>
  <si>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</si>
  <si>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</si>
  <si>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</si>
  <si>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</si>
  <si>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</si>
  <si>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</si>
  <si>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</si>
  <si>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</si>
  <si>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</si>
  <si>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</si>
  <si>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</si>
  <si>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</si>
  <si>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</si>
  <si>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</si>
  <si>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</si>
  <si>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</si>
  <si>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</si>
  <si>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</si>
  <si>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</si>
  <si>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</si>
  <si>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</si>
  <si>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</si>
  <si>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</si>
  <si>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</si>
  <si>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</si>
  <si>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</si>
  <si>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</si>
  <si>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</si>
  <si>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</si>
  <si>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</si>
  <si>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</si>
  <si>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</si>
  <si>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</si>
  <si>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</si>
  <si>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</si>
  <si>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</si>
  <si>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</si>
  <si>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</si>
  <si>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</si>
  <si>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</si>
  <si>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</si>
  <si>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</si>
  <si>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</si>
  <si>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</si>
  <si>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</si>
  <si>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</si>
  <si>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</si>
  <si>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</si>
  <si>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</si>
  <si>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</si>
  <si>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</si>
  <si>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</si>
  <si>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</si>
  <si>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</si>
  <si>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</si>
  <si>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</si>
  <si>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</si>
  <si>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</si>
  <si>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</si>
  <si>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</si>
  <si>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</si>
  <si>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</si>
  <si>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</si>
  <si>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</si>
  <si>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</si>
  <si>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</si>
  <si>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</si>
  <si>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</si>
  <si>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</si>
  <si>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</si>
  <si>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</si>
  <si>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</si>
  <si>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</si>
  <si>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</si>
  <si>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</si>
  <si>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</si>
  <si>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</si>
  <si>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</si>
  <si>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</si>
  <si>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</si>
  <si>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</si>
  <si>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</si>
  <si>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</si>
  <si>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</si>
  <si>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</si>
  <si>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</si>
  <si>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</si>
  <si>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</si>
  <si>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</si>
  <si>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</si>
  <si>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</si>
  <si>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</si>
  <si>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</si>
  <si>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</si>
  <si>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</si>
  <si>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</si>
  <si>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</si>
  <si>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</si>
  <si>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</si>
  <si>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</si>
  <si>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</si>
  <si>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</si>
  <si>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</si>
  <si>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</si>
  <si>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</si>
  <si>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</si>
  <si>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</si>
  <si>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</si>
  <si>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</si>
  <si>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</si>
  <si>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</si>
  <si>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</si>
  <si>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</si>
  <si>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</si>
  <si>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</si>
  <si>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</si>
  <si>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</si>
  <si>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</si>
  <si>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</si>
  <si>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</si>
  <si>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</si>
  <si>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</si>
  <si>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</si>
  <si>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</si>
  <si>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</si>
  <si>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</si>
  <si>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</si>
  <si>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</si>
  <si>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</si>
  <si>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</si>
  <si>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</si>
  <si>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</si>
  <si>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</si>
  <si>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</si>
  <si>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</si>
  <si>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</si>
  <si>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</si>
  <si>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</si>
  <si>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</si>
  <si>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</si>
  <si>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</si>
  <si>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</si>
  <si>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</si>
  <si>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</si>
  <si>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</si>
  <si>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</si>
  <si>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</si>
  <si>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26.03.15 </t>
    </r>
    <r>
      <rPr>
        <b/>
        <sz val="10"/>
        <rFont val="Times New Roman"/>
        <family val="1"/>
      </rPr>
      <t>включно</t>
    </r>
  </si>
  <si>
    <t>субвенція -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</si>
</sst>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108" sqref="J108: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/>
      <c r="C3" s="184" t="s">
        <v>0</v>
      </c>
      <c r="D3" s="181" t="s">
        <v>216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231</v>
      </c>
      <c r="N3" s="220" t="s">
        <v>232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228</v>
      </c>
      <c r="F4" s="207" t="s">
        <v>116</v>
      </c>
      <c r="G4" s="209" t="s">
        <v>229</v>
      </c>
      <c r="H4" s="211" t="s">
        <v>230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235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12"/>
      <c r="I5" s="205"/>
      <c r="J5" s="201"/>
      <c r="K5" s="197" t="s">
        <v>233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120858.59999999999</v>
      </c>
      <c r="F8" s="18">
        <f>F10+F19+F30+F33+F34+F42</f>
        <v>125164.48999999999</v>
      </c>
      <c r="G8" s="18">
        <f aca="true" t="shared" si="0" ref="G8:G42">F8-E8</f>
        <v>4305.889999999999</v>
      </c>
      <c r="H8" s="45">
        <f>F8/E8*100</f>
        <v>103.5627501890639</v>
      </c>
      <c r="I8" s="31">
        <f aca="true" t="shared" si="1" ref="I8:I42">F8-D8</f>
        <v>-392264.51</v>
      </c>
      <c r="J8" s="31">
        <f aca="true" t="shared" si="2" ref="J8:J14">F8/D8*100</f>
        <v>24.18969365845362</v>
      </c>
      <c r="K8" s="18">
        <f>K10+K19+K30+K33+K34+K42</f>
        <v>12365.371999999994</v>
      </c>
      <c r="L8" s="18"/>
      <c r="M8" s="18">
        <f>M10+M19+M30+M33+M34+M42</f>
        <v>41750.600000000006</v>
      </c>
      <c r="N8" s="18">
        <f>N10+N19+N30+N33+N34+N42</f>
        <v>33810.09</v>
      </c>
      <c r="O8" s="31">
        <f aca="true" t="shared" si="3" ref="O8:O45">N8-M8</f>
        <v>-7940.510000000009</v>
      </c>
      <c r="P8" s="31">
        <f>F8/M8*100</f>
        <v>299.7908772568537</v>
      </c>
      <c r="Q8" s="31">
        <f>N8-33748.16</f>
        <v>61.929999999993015</v>
      </c>
      <c r="R8" s="125">
        <f>N8/33748.16</f>
        <v>1.0018350630078794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73279.4</v>
      </c>
      <c r="G9" s="18">
        <f t="shared" si="0"/>
        <v>73279.4</v>
      </c>
      <c r="H9" s="16"/>
      <c r="I9" s="50">
        <f t="shared" si="1"/>
        <v>-239410.6</v>
      </c>
      <c r="J9" s="50">
        <f t="shared" si="2"/>
        <v>23.43515942307077</v>
      </c>
      <c r="K9" s="50"/>
      <c r="L9" s="50"/>
      <c r="M9" s="16">
        <f>M10+M17</f>
        <v>25584.6</v>
      </c>
      <c r="N9" s="16">
        <f>N10+N17</f>
        <v>23591.909999999996</v>
      </c>
      <c r="O9" s="31">
        <f t="shared" si="3"/>
        <v>-1992.6900000000023</v>
      </c>
      <c r="P9" s="50">
        <f>F9/M9*100</f>
        <v>286.41995575463363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70514</v>
      </c>
      <c r="F10" s="143">
        <v>73279.4</v>
      </c>
      <c r="G10" s="43">
        <f t="shared" si="0"/>
        <v>2765.399999999994</v>
      </c>
      <c r="H10" s="35">
        <f aca="true" t="shared" si="4" ref="H10:H42">F10/E10*100</f>
        <v>103.92177439941004</v>
      </c>
      <c r="I10" s="50">
        <f t="shared" si="1"/>
        <v>-239410.6</v>
      </c>
      <c r="J10" s="50">
        <f t="shared" si="2"/>
        <v>23.43515942307077</v>
      </c>
      <c r="K10" s="132">
        <f>F10-86046.61/75*60</f>
        <v>4442.111999999994</v>
      </c>
      <c r="L10" s="132">
        <f>F10/(86046.61/75*60)*100</f>
        <v>106.45306073069003</v>
      </c>
      <c r="M10" s="35">
        <f>E10-лютий!E10</f>
        <v>25584.6</v>
      </c>
      <c r="N10" s="35">
        <f>F10-лютий!F10</f>
        <v>23591.909999999996</v>
      </c>
      <c r="O10" s="47">
        <f t="shared" si="3"/>
        <v>-1992.6900000000023</v>
      </c>
      <c r="P10" s="50">
        <f aca="true" t="shared" si="5" ref="P10:P42">N10/M10*100</f>
        <v>92.2113693393682</v>
      </c>
      <c r="Q10" s="132">
        <f>N10-26568.11</f>
        <v>-2976.2000000000044</v>
      </c>
      <c r="R10" s="133">
        <f>N10/26568.11</f>
        <v>0.8879784824739131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-1020.05</v>
      </c>
      <c r="G19" s="43">
        <f t="shared" si="0"/>
        <v>-1191.25</v>
      </c>
      <c r="H19" s="35"/>
      <c r="I19" s="50">
        <f t="shared" si="1"/>
        <v>-1520.05</v>
      </c>
      <c r="J19" s="50">
        <f aca="true" t="shared" si="6" ref="J19:J30">F19/D19*100</f>
        <v>-204.01</v>
      </c>
      <c r="K19" s="50">
        <f>F19-815.68</f>
        <v>-1835.73</v>
      </c>
      <c r="L19" s="50">
        <f>F19/815.68*100</f>
        <v>-125.05516869360534</v>
      </c>
      <c r="M19" s="35">
        <f>E19-лютий!E19</f>
        <v>171.2</v>
      </c>
      <c r="N19" s="35">
        <f>F19-лютий!F19</f>
        <v>-43.569999999999936</v>
      </c>
      <c r="O19" s="47">
        <f t="shared" si="3"/>
        <v>-214.76999999999992</v>
      </c>
      <c r="P19" s="50"/>
      <c r="Q19" s="50">
        <f>N19-358.81</f>
        <v>-402.37999999999994</v>
      </c>
      <c r="R19" s="126">
        <f>N19/358.81</f>
        <v>-0.12142916864078464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6740</v>
      </c>
      <c r="F33" s="168">
        <v>5383.37</v>
      </c>
      <c r="G33" s="43">
        <f t="shared" si="0"/>
        <v>-1356.63</v>
      </c>
      <c r="H33" s="35">
        <f t="shared" si="4"/>
        <v>79.87195845697329</v>
      </c>
      <c r="I33" s="50">
        <f t="shared" si="1"/>
        <v>-24566.63</v>
      </c>
      <c r="J33" s="178">
        <f>F33/D33*100</f>
        <v>17.974524207011687</v>
      </c>
      <c r="K33" s="179">
        <f>F33-0</f>
        <v>5383.37</v>
      </c>
      <c r="L33" s="180"/>
      <c r="M33" s="35">
        <f>E33-лютий!E33</f>
        <v>4020</v>
      </c>
      <c r="N33" s="35">
        <f>F33-лютий!F33</f>
        <v>1858.25</v>
      </c>
      <c r="O33" s="47">
        <f t="shared" si="3"/>
        <v>-2161.75</v>
      </c>
      <c r="P33" s="50">
        <f t="shared" si="5"/>
        <v>46.22512437810945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41435</v>
      </c>
      <c r="F34" s="169">
        <f>F35+F39+F41+F40</f>
        <v>45506.119999999995</v>
      </c>
      <c r="G34" s="43">
        <f t="shared" si="0"/>
        <v>4071.1199999999953</v>
      </c>
      <c r="H34" s="35">
        <f t="shared" si="4"/>
        <v>109.82531676119223</v>
      </c>
      <c r="I34" s="50">
        <f t="shared" si="1"/>
        <v>-121263.88</v>
      </c>
      <c r="J34" s="178">
        <f aca="true" t="shared" si="11" ref="J34:J42">F34/D34*100</f>
        <v>27.286754212388313</v>
      </c>
      <c r="K34" s="178">
        <f>K35+K39+K40+K41</f>
        <v>4966.629999999999</v>
      </c>
      <c r="L34" s="136"/>
      <c r="M34" s="35">
        <f>E34-лютий!E34</f>
        <v>11974.5</v>
      </c>
      <c r="N34" s="35">
        <f>F34-лютий!F34</f>
        <v>8402.89</v>
      </c>
      <c r="O34" s="47">
        <f t="shared" si="3"/>
        <v>-3571.6100000000006</v>
      </c>
      <c r="P34" s="50">
        <f t="shared" si="5"/>
        <v>70.17320138627917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21387</v>
      </c>
      <c r="F35" s="169">
        <f>F36+F37+F38</f>
        <v>20573.27</v>
      </c>
      <c r="G35" s="43">
        <f t="shared" si="0"/>
        <v>-813.7299999999996</v>
      </c>
      <c r="H35" s="35">
        <f t="shared" si="4"/>
        <v>96.19521204470006</v>
      </c>
      <c r="I35" s="50">
        <f t="shared" si="1"/>
        <v>-77626.73</v>
      </c>
      <c r="J35" s="178">
        <f t="shared" si="11"/>
        <v>20.95037678207739</v>
      </c>
      <c r="K35" s="178">
        <f>K36+K37+K38</f>
        <v>1382.530000000001</v>
      </c>
      <c r="L35" s="136"/>
      <c r="M35" s="35">
        <f>E35-лютий!E35</f>
        <v>7632.5</v>
      </c>
      <c r="N35" s="35">
        <f>F35-лютий!F35</f>
        <v>5306.48</v>
      </c>
      <c r="O35" s="47">
        <f t="shared" si="3"/>
        <v>-2326.0200000000004</v>
      </c>
      <c r="P35" s="50">
        <f t="shared" si="5"/>
        <v>69.52479528332786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505.33</v>
      </c>
      <c r="G36" s="135">
        <f t="shared" si="0"/>
        <v>395.33</v>
      </c>
      <c r="H36" s="137">
        <f t="shared" si="4"/>
        <v>459.3909090909091</v>
      </c>
      <c r="I36" s="136">
        <f t="shared" si="1"/>
        <v>-494.67</v>
      </c>
      <c r="J36" s="136">
        <f t="shared" si="11"/>
        <v>50.532999999999994</v>
      </c>
      <c r="K36" s="136">
        <f>F36-101.47</f>
        <v>403.86</v>
      </c>
      <c r="L36" s="136">
        <f>F36/101.47*100</f>
        <v>498.0092638218192</v>
      </c>
      <c r="M36" s="35">
        <f>E36-лютий!E36</f>
        <v>5.5</v>
      </c>
      <c r="N36" s="35">
        <f>F36-лютий!F36</f>
        <v>199.32</v>
      </c>
      <c r="O36" s="47">
        <f t="shared" si="3"/>
        <v>193.82</v>
      </c>
      <c r="P36" s="50">
        <f t="shared" si="5"/>
        <v>3624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21277</v>
      </c>
      <c r="F38" s="144">
        <v>20030.24</v>
      </c>
      <c r="G38" s="135">
        <f t="shared" si="0"/>
        <v>-1246.7599999999984</v>
      </c>
      <c r="H38" s="137">
        <f t="shared" si="4"/>
        <v>94.14033933355267</v>
      </c>
      <c r="I38" s="136">
        <f t="shared" si="1"/>
        <v>-75669.76</v>
      </c>
      <c r="J38" s="136">
        <f t="shared" si="11"/>
        <v>20.930240334378265</v>
      </c>
      <c r="K38" s="139">
        <f>F38-19089.27</f>
        <v>940.9700000000012</v>
      </c>
      <c r="L38" s="139">
        <f>F38/19089.27*100</f>
        <v>104.9293136929804</v>
      </c>
      <c r="M38" s="35">
        <f>E38-лютий!E38</f>
        <v>7627</v>
      </c>
      <c r="N38" s="35">
        <f>F38-лютий!F38</f>
        <v>5075.710000000001</v>
      </c>
      <c r="O38" s="47">
        <f t="shared" si="3"/>
        <v>-2551.289999999999</v>
      </c>
      <c r="P38" s="50">
        <f t="shared" si="5"/>
        <v>66.54923298806872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19.34</v>
      </c>
      <c r="G40" s="43">
        <f t="shared" si="0"/>
        <v>19.34</v>
      </c>
      <c r="H40" s="35"/>
      <c r="I40" s="50">
        <f t="shared" si="1"/>
        <v>19.34</v>
      </c>
      <c r="J40" s="136"/>
      <c r="K40" s="178">
        <f>F40-1634.06</f>
        <v>-1614.72</v>
      </c>
      <c r="L40" s="178">
        <f>F40/1634.06*100</f>
        <v>1.1835550714172063</v>
      </c>
      <c r="M40" s="35">
        <f>E40-лютий!E40</f>
        <v>0</v>
      </c>
      <c r="N40" s="35">
        <f>F40-лютий!F40</f>
        <v>-68.33</v>
      </c>
      <c r="O40" s="47">
        <f t="shared" si="3"/>
        <v>-68.33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20040</v>
      </c>
      <c r="F41" s="168">
        <v>24895.89</v>
      </c>
      <c r="G41" s="43">
        <f t="shared" si="0"/>
        <v>4855.889999999999</v>
      </c>
      <c r="H41" s="35">
        <f t="shared" si="4"/>
        <v>124.2309880239521</v>
      </c>
      <c r="I41" s="50">
        <f t="shared" si="1"/>
        <v>-43604.11</v>
      </c>
      <c r="J41" s="178">
        <f t="shared" si="11"/>
        <v>36.34436496350365</v>
      </c>
      <c r="K41" s="132">
        <f>F41-19695.04</f>
        <v>5200.8499999999985</v>
      </c>
      <c r="L41" s="132">
        <f>F41/19695.04*100</f>
        <v>126.40690244853525</v>
      </c>
      <c r="M41" s="35">
        <f>E41-лютий!E41</f>
        <v>4340</v>
      </c>
      <c r="N41" s="35">
        <f>F41-лютий!F41</f>
        <v>3161.34</v>
      </c>
      <c r="O41" s="47">
        <f t="shared" si="3"/>
        <v>-1178.6599999999999</v>
      </c>
      <c r="P41" s="50">
        <f t="shared" si="5"/>
        <v>72.84193548387097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1999.85</v>
      </c>
      <c r="G42" s="43">
        <f t="shared" si="0"/>
        <v>14.449999999999818</v>
      </c>
      <c r="H42" s="35">
        <f t="shared" si="4"/>
        <v>100.72781303515663</v>
      </c>
      <c r="I42" s="50">
        <f t="shared" si="1"/>
        <v>-5500.15</v>
      </c>
      <c r="J42" s="136">
        <f t="shared" si="11"/>
        <v>26.664666666666665</v>
      </c>
      <c r="K42" s="178">
        <f>F42-2603.75</f>
        <v>-603.9000000000001</v>
      </c>
      <c r="L42" s="178">
        <f>F42/2603.75*100</f>
        <v>76.80652904464715</v>
      </c>
      <c r="M42" s="35">
        <f>E42-лютий!E42</f>
        <v>0.3000000000001819</v>
      </c>
      <c r="N42" s="35">
        <f>F42-лютий!F42</f>
        <v>0.6099999999999</v>
      </c>
      <c r="O42" s="47">
        <f t="shared" si="3"/>
        <v>0.30999999999971806</v>
      </c>
      <c r="P42" s="50">
        <f t="shared" si="5"/>
        <v>203.33333333317668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7340.92</v>
      </c>
      <c r="G48" s="44">
        <f aca="true" t="shared" si="12" ref="G48:G81">F48-E48</f>
        <v>4304.92</v>
      </c>
      <c r="H48" s="45">
        <f aca="true" t="shared" si="13" ref="H48:H59">F48/E48*100</f>
        <v>241.79578392621872</v>
      </c>
      <c r="I48" s="31">
        <f aca="true" t="shared" si="14" ref="I48:I81">F48-D48</f>
        <v>-5226.18</v>
      </c>
      <c r="J48" s="31">
        <f aca="true" t="shared" si="15" ref="J48:J66">F48/D48*100</f>
        <v>58.413794749783165</v>
      </c>
      <c r="K48" s="18">
        <f>K51+K60+K61+K62+K63+K71+K72+K73+K75+K79+K70</f>
        <v>4204.5</v>
      </c>
      <c r="L48" s="18"/>
      <c r="M48" s="18">
        <f>M51+M60+M61+M62+M63+M71+M72+M73+M75+M79+M70+M69</f>
        <v>955.5</v>
      </c>
      <c r="N48" s="18">
        <f>N51+N60+N61+N62+N63+N71+N72+N73+N75+N79+N70+N69</f>
        <v>2457.2199999999993</v>
      </c>
      <c r="O48" s="49">
        <f aca="true" t="shared" si="16" ref="O48:O81">N48-M48</f>
        <v>1501.7199999999993</v>
      </c>
      <c r="P48" s="31">
        <f>N48/M48*100</f>
        <v>257.16588173731026</v>
      </c>
      <c r="Q48" s="31">
        <f>N48-1017.63</f>
        <v>1439.5899999999992</v>
      </c>
      <c r="R48" s="127">
        <f>N48/1017.63</f>
        <v>2.414649725342216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27.87</v>
      </c>
      <c r="G63" s="43">
        <f t="shared" si="12"/>
        <v>2.870000000000001</v>
      </c>
      <c r="H63" s="35">
        <f>F63/E63*100</f>
        <v>111.48</v>
      </c>
      <c r="I63" s="50">
        <f t="shared" si="14"/>
        <v>-112.13</v>
      </c>
      <c r="J63" s="50">
        <v>10</v>
      </c>
      <c r="K63" s="50">
        <f>F63-26.77</f>
        <v>1.1000000000000014</v>
      </c>
      <c r="L63" s="50">
        <f>F63/26.77*100</f>
        <v>104.10907732536423</v>
      </c>
      <c r="M63" s="35">
        <f>E63-лютий!E63</f>
        <v>9</v>
      </c>
      <c r="N63" s="35">
        <f>F63-лютий!F63</f>
        <v>11.040000000000003</v>
      </c>
      <c r="O63" s="47">
        <f t="shared" si="16"/>
        <v>2.0400000000000027</v>
      </c>
      <c r="P63" s="50">
        <f>N63/M63*100</f>
        <v>122.6666666666667</v>
      </c>
      <c r="Q63" s="50">
        <f>N63-9.02</f>
        <v>2.020000000000003</v>
      </c>
      <c r="R63" s="126">
        <f>N63/9.02</f>
        <v>1.223946784922395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2363.22</v>
      </c>
      <c r="G70" s="43">
        <f t="shared" si="12"/>
        <v>2363.22</v>
      </c>
      <c r="H70" s="35"/>
      <c r="I70" s="50">
        <f t="shared" si="14"/>
        <v>2363.22</v>
      </c>
      <c r="J70" s="50"/>
      <c r="K70" s="50">
        <f>F70-0</f>
        <v>2363.22</v>
      </c>
      <c r="L70" s="50"/>
      <c r="M70" s="35">
        <f>E70-лютий!E70</f>
        <v>0</v>
      </c>
      <c r="N70" s="35">
        <f>F70-лютий!F70</f>
        <v>803.7499999999998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2081.79</v>
      </c>
      <c r="G72" s="43">
        <f t="shared" si="12"/>
        <v>1851.79</v>
      </c>
      <c r="H72" s="35">
        <f>F72/E72*100</f>
        <v>905.1260869565217</v>
      </c>
      <c r="I72" s="50">
        <f t="shared" si="14"/>
        <v>981.79</v>
      </c>
      <c r="J72" s="50">
        <v>90</v>
      </c>
      <c r="K72" s="50">
        <f>F72-198.87</f>
        <v>1882.92</v>
      </c>
      <c r="L72" s="50">
        <f>F72/198.87*100</f>
        <v>1046.8094735254185</v>
      </c>
      <c r="M72" s="35">
        <f>E72-лютий!E72</f>
        <v>81</v>
      </c>
      <c r="N72" s="35">
        <f>F72-лютий!F72</f>
        <v>683.3199999999999</v>
      </c>
      <c r="O72" s="47">
        <f t="shared" si="16"/>
        <v>602.3199999999999</v>
      </c>
      <c r="P72" s="50">
        <f>N72/M72*100</f>
        <v>843.6049382716047</v>
      </c>
      <c r="Q72" s="50">
        <f>N72-79.51</f>
        <v>603.81</v>
      </c>
      <c r="R72" s="126">
        <f>N72/79.51</f>
        <v>8.594139101999748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920.55</v>
      </c>
      <c r="G75" s="43">
        <f t="shared" si="12"/>
        <v>-29.450000000000045</v>
      </c>
      <c r="H75" s="35">
        <f>F75/E75*100</f>
        <v>96.89999999999999</v>
      </c>
      <c r="I75" s="50">
        <f t="shared" si="14"/>
        <v>-3279.45</v>
      </c>
      <c r="J75" s="50">
        <f>F75/D75*100</f>
        <v>21.91785714285714</v>
      </c>
      <c r="K75" s="50">
        <f>F75-913.85</f>
        <v>6.699999999999932</v>
      </c>
      <c r="L75" s="50">
        <f>F75/913.85*100</f>
        <v>100.73316189746674</v>
      </c>
      <c r="M75" s="35">
        <f>E75-лютий!E75</f>
        <v>300</v>
      </c>
      <c r="N75" s="35">
        <f>F75-лютий!F75</f>
        <v>330.30999999999995</v>
      </c>
      <c r="O75" s="47">
        <f t="shared" si="16"/>
        <v>30.309999999999945</v>
      </c>
      <c r="P75" s="50">
        <f t="shared" si="20"/>
        <v>110.10333333333331</v>
      </c>
      <c r="Q75" s="50">
        <f>N75-277.38</f>
        <v>52.92999999999995</v>
      </c>
      <c r="R75" s="126">
        <f>N75/277.38</f>
        <v>1.190821256038647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232.1</v>
      </c>
      <c r="G78" s="135">
        <f t="shared" si="12"/>
        <v>232.1</v>
      </c>
      <c r="H78" s="137"/>
      <c r="I78" s="136">
        <f t="shared" si="14"/>
        <v>232.1</v>
      </c>
      <c r="J78" s="136"/>
      <c r="K78" s="136">
        <f>F78-172.57</f>
        <v>59.53</v>
      </c>
      <c r="L78" s="138">
        <f>F78/172.57*100</f>
        <v>134.4961464912789</v>
      </c>
      <c r="M78" s="35">
        <f>E78-лютий!E78</f>
        <v>0</v>
      </c>
      <c r="N78" s="35">
        <f>F78-лютий!F78</f>
        <v>89.4</v>
      </c>
      <c r="O78" s="138">
        <f t="shared" si="16"/>
        <v>89.4</v>
      </c>
      <c r="P78" s="136"/>
      <c r="Q78" s="50">
        <f>N78-64.93</f>
        <v>24.47</v>
      </c>
      <c r="R78" s="126">
        <f>N78/64.93</f>
        <v>1.3768673956568611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123900.79999999999</v>
      </c>
      <c r="F82" s="18">
        <f>F8+F48+F80+F81</f>
        <v>132511.53</v>
      </c>
      <c r="G82" s="44">
        <f>F82-E82</f>
        <v>8610.73000000001</v>
      </c>
      <c r="H82" s="45">
        <f>F82/E82*100</f>
        <v>106.94969685425761</v>
      </c>
      <c r="I82" s="31">
        <f>F82-D82</f>
        <v>-397511.06999999995</v>
      </c>
      <c r="J82" s="31">
        <f>F82/D82*100</f>
        <v>25.001109386656346</v>
      </c>
      <c r="K82" s="31">
        <f>K8+K48+K80+K81</f>
        <v>16570.041999999994</v>
      </c>
      <c r="L82" s="31"/>
      <c r="M82" s="18">
        <f>M8+M48+M80+M81</f>
        <v>42708.3</v>
      </c>
      <c r="N82" s="18">
        <f>N8+N48+N80+N81</f>
        <v>36270.11</v>
      </c>
      <c r="O82" s="49">
        <f>N82-M82</f>
        <v>-6438.190000000002</v>
      </c>
      <c r="P82" s="31">
        <f>N82/M82*100</f>
        <v>84.92520189284049</v>
      </c>
      <c r="Q82" s="31">
        <f>N82-34768</f>
        <v>1502.1100000000006</v>
      </c>
      <c r="R82" s="171">
        <f>N82/34768</f>
        <v>1.0432038080994017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0.12</v>
      </c>
      <c r="G90" s="43">
        <f t="shared" si="21"/>
        <v>0.12</v>
      </c>
      <c r="H90" s="35"/>
      <c r="I90" s="53">
        <f t="shared" si="22"/>
        <v>-2499.88</v>
      </c>
      <c r="J90" s="53">
        <f t="shared" si="25"/>
        <v>0.0048000000000000004</v>
      </c>
      <c r="K90" s="53">
        <f>F90-518.63</f>
        <v>-518.51</v>
      </c>
      <c r="L90" s="53">
        <f>F90/518.63*100</f>
        <v>0.023137882498120044</v>
      </c>
      <c r="M90" s="35">
        <f>E90-лютий!E90</f>
        <v>0</v>
      </c>
      <c r="N90" s="35">
        <f>F90-лютий!F90</f>
        <v>0.039999999999999994</v>
      </c>
      <c r="O90" s="47">
        <f t="shared" si="23"/>
        <v>0.039999999999999994</v>
      </c>
      <c r="P90" s="53"/>
      <c r="Q90" s="53">
        <f>N90-0.04</f>
        <v>0</v>
      </c>
      <c r="R90" s="129">
        <f>N90/0.04</f>
        <v>0.9999999999999998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824.31</v>
      </c>
      <c r="G91" s="43">
        <f t="shared" si="21"/>
        <v>286.17999999999995</v>
      </c>
      <c r="H91" s="35">
        <f t="shared" si="24"/>
        <v>153.18045825358183</v>
      </c>
      <c r="I91" s="53">
        <f t="shared" si="22"/>
        <v>-10751.69</v>
      </c>
      <c r="J91" s="53">
        <f t="shared" si="25"/>
        <v>7.120853489979267</v>
      </c>
      <c r="K91" s="53">
        <f>F91-1143.96</f>
        <v>-319.6500000000001</v>
      </c>
      <c r="L91" s="53">
        <f>F91/1143.96*100</f>
        <v>72.0575894262037</v>
      </c>
      <c r="M91" s="35">
        <f>E91-лютий!E91</f>
        <v>182.152</v>
      </c>
      <c r="N91" s="35">
        <f>F91-лютий!F91</f>
        <v>410.18999999999994</v>
      </c>
      <c r="O91" s="47">
        <f t="shared" si="23"/>
        <v>228.03799999999995</v>
      </c>
      <c r="P91" s="53">
        <f>N91/M91*100</f>
        <v>225.19104923360706</v>
      </c>
      <c r="Q91" s="53">
        <f>N91-450.01</f>
        <v>-39.82000000000005</v>
      </c>
      <c r="R91" s="129">
        <f>N91/450.01</f>
        <v>0.9115130774871668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835.4899999999999</v>
      </c>
      <c r="G93" s="55">
        <f t="shared" si="21"/>
        <v>1.1599999999999682</v>
      </c>
      <c r="H93" s="65">
        <f t="shared" si="24"/>
        <v>100.13903371567605</v>
      </c>
      <c r="I93" s="54">
        <f t="shared" si="22"/>
        <v>-16240.51</v>
      </c>
      <c r="J93" s="54">
        <f t="shared" si="25"/>
        <v>4.8927734832513465</v>
      </c>
      <c r="K93" s="54">
        <f>F93-1606.47</f>
        <v>-770.9800000000001</v>
      </c>
      <c r="L93" s="54">
        <f>F93/1606.47*100</f>
        <v>52.00781838440805</v>
      </c>
      <c r="M93" s="55">
        <f>M90+M91+M92</f>
        <v>330.25199999999995</v>
      </c>
      <c r="N93" s="55">
        <f>N90+N91+N92</f>
        <v>422.89</v>
      </c>
      <c r="O93" s="54">
        <f t="shared" si="23"/>
        <v>92.63800000000003</v>
      </c>
      <c r="P93" s="54">
        <f>N93/M93*100</f>
        <v>128.05070067705876</v>
      </c>
      <c r="Q93" s="54">
        <f>N93-7985.28</f>
        <v>-7562.389999999999</v>
      </c>
      <c r="R93" s="173">
        <f>N93/7985.28</f>
        <v>0.052958693996954395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0.46</v>
      </c>
      <c r="G97" s="43">
        <f>F97-E97</f>
        <v>0.46</v>
      </c>
      <c r="H97" s="35"/>
      <c r="I97" s="53">
        <f>F97-D97</f>
        <v>0.46</v>
      </c>
      <c r="J97" s="53"/>
      <c r="K97" s="53">
        <f>F97-(-0.36)</f>
        <v>0.8200000000000001</v>
      </c>
      <c r="L97" s="53">
        <f>F97/(-0.36)*100</f>
        <v>-127.77777777777779</v>
      </c>
      <c r="M97" s="35">
        <f>E97-лютий!E97</f>
        <v>0</v>
      </c>
      <c r="N97" s="35">
        <f>F97-лютий!F97</f>
        <v>-0.02999999999999997</v>
      </c>
      <c r="O97" s="47">
        <f>N97-M97</f>
        <v>-0.02999999999999997</v>
      </c>
      <c r="P97" s="53"/>
      <c r="Q97" s="53">
        <f>N97-(-0.21)</f>
        <v>0.18000000000000002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0.46</v>
      </c>
      <c r="G98" s="55">
        <f>F98-E98</f>
        <v>-3.54</v>
      </c>
      <c r="H98" s="65"/>
      <c r="I98" s="54">
        <f>F98-D98</f>
        <v>-53.54</v>
      </c>
      <c r="J98" s="54">
        <f>F98/D98*100</f>
        <v>0.8518518518518519</v>
      </c>
      <c r="K98" s="54">
        <f>F98-8.69</f>
        <v>-8.229999999999999</v>
      </c>
      <c r="L98" s="54">
        <f>F98/8.69*100</f>
        <v>5.293440736478712</v>
      </c>
      <c r="M98" s="55">
        <f>M94+M97+M96</f>
        <v>4</v>
      </c>
      <c r="N98" s="55">
        <f>N94+N97+N96</f>
        <v>-0.02999999999999997</v>
      </c>
      <c r="O98" s="54">
        <f>N98-M98</f>
        <v>-4.03</v>
      </c>
      <c r="P98" s="54"/>
      <c r="Q98" s="54">
        <f>N98-26.38</f>
        <v>-26.41</v>
      </c>
      <c r="R98" s="128">
        <f>N98/26.38</f>
        <v>-0.0011372251705837745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5.64</v>
      </c>
      <c r="G99" s="43">
        <f>F99-E99</f>
        <v>-5.95</v>
      </c>
      <c r="H99" s="35">
        <f>F99/E99*100</f>
        <v>48.662640207075064</v>
      </c>
      <c r="I99" s="53">
        <f>F99-D99</f>
        <v>-36.36</v>
      </c>
      <c r="J99" s="53">
        <f>F99/D99*100</f>
        <v>13.428571428571429</v>
      </c>
      <c r="K99" s="53">
        <f>F99-10.97</f>
        <v>-5.330000000000001</v>
      </c>
      <c r="L99" s="53">
        <f>F99/10.97*100</f>
        <v>51.412944393801276</v>
      </c>
      <c r="M99" s="35">
        <f>E99-лютий!E99</f>
        <v>9</v>
      </c>
      <c r="N99" s="35">
        <f>F99-лютий!F99</f>
        <v>4.68</v>
      </c>
      <c r="O99" s="47">
        <f>N99-M99</f>
        <v>-4.32</v>
      </c>
      <c r="P99" s="53">
        <f>N99/M99*100</f>
        <v>52</v>
      </c>
      <c r="Q99" s="53">
        <f>N99-0.45</f>
        <v>4.2299999999999995</v>
      </c>
      <c r="R99" s="129">
        <f>N99/0.45</f>
        <v>10.399999999999999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826.9399999999999</v>
      </c>
      <c r="G100" s="44">
        <f>F100-E100</f>
        <v>-22.980000000000018</v>
      </c>
      <c r="H100" s="45">
        <f>F100/E100*100</f>
        <v>97.29621611445783</v>
      </c>
      <c r="I100" s="31">
        <f>F100-D100</f>
        <v>-16345.06</v>
      </c>
      <c r="J100" s="31">
        <f>F100/D100*100</f>
        <v>4.815630095504309</v>
      </c>
      <c r="K100" s="31">
        <f>K88+K93+K98+K99</f>
        <v>-792.0400000000002</v>
      </c>
      <c r="L100" s="31"/>
      <c r="M100" s="27">
        <f>M88+M99+M93+M98</f>
        <v>343.25199999999995</v>
      </c>
      <c r="N100" s="27">
        <f>N88+N99+N93+N98</f>
        <v>427.54</v>
      </c>
      <c r="O100" s="31">
        <f>N100-M100</f>
        <v>84.28800000000007</v>
      </c>
      <c r="P100" s="31">
        <f>N100/M100*100</f>
        <v>124.55571999580486</v>
      </c>
      <c r="Q100" s="31">
        <f>N100-8104.96</f>
        <v>-7677.42</v>
      </c>
      <c r="R100" s="127">
        <f>N100/8104.96</f>
        <v>0.052750414560960204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124750.71999999999</v>
      </c>
      <c r="F101" s="27">
        <f>F82+F100</f>
        <v>133338.47</v>
      </c>
      <c r="G101" s="44">
        <f>F101-E101</f>
        <v>8587.750000000015</v>
      </c>
      <c r="H101" s="45">
        <f>F101/E101*100</f>
        <v>106.88392820498352</v>
      </c>
      <c r="I101" s="31">
        <f>F101-D101</f>
        <v>-413856.13</v>
      </c>
      <c r="J101" s="31">
        <f>F101/D101*100</f>
        <v>24.367650923455752</v>
      </c>
      <c r="K101" s="31">
        <f>K82+K100</f>
        <v>15778.001999999993</v>
      </c>
      <c r="L101" s="31"/>
      <c r="M101" s="18">
        <f>M82+M100</f>
        <v>43051.552</v>
      </c>
      <c r="N101" s="18">
        <f>N82+N100</f>
        <v>36697.65</v>
      </c>
      <c r="O101" s="31">
        <f>N101-M101</f>
        <v>-6353.902000000002</v>
      </c>
      <c r="P101" s="31">
        <f>N101/M101*100</f>
        <v>85.24117783256688</v>
      </c>
      <c r="Q101" s="31">
        <f>N101-42872.96</f>
        <v>-6175.309999999998</v>
      </c>
      <c r="R101" s="127">
        <f>N101/42872.96</f>
        <v>0.8559625927391065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3</v>
      </c>
      <c r="D103" s="4" t="s">
        <v>118</v>
      </c>
    </row>
    <row r="104" spans="2:17" ht="31.5">
      <c r="B104" s="71" t="s">
        <v>154</v>
      </c>
      <c r="C104" s="34">
        <f>IF(O82&lt;0,ABS(O82/C103),0)</f>
        <v>2146.063333333334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42089</v>
      </c>
      <c r="D105" s="34">
        <v>1799</v>
      </c>
      <c r="N105" s="194"/>
      <c r="O105" s="194"/>
    </row>
    <row r="106" spans="3:15" ht="15.75">
      <c r="C106" s="111">
        <v>42088</v>
      </c>
      <c r="D106" s="34">
        <v>970.2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42087</v>
      </c>
      <c r="D107" s="34">
        <v>1595.4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195" t="s">
        <v>236</v>
      </c>
      <c r="H108" s="196"/>
      <c r="I108" s="103">
        <v>413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v>133423.44604</v>
      </c>
      <c r="E109" s="73"/>
      <c r="F109" s="156" t="s">
        <v>147</v>
      </c>
      <c r="G109" s="191" t="s">
        <v>149</v>
      </c>
      <c r="H109" s="191"/>
      <c r="I109" s="107">
        <v>124100.71383000001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7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 t="s">
        <v>205</v>
      </c>
      <c r="C3" s="184" t="s">
        <v>0</v>
      </c>
      <c r="D3" s="181" t="s">
        <v>216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221</v>
      </c>
      <c r="N3" s="220" t="s">
        <v>202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199</v>
      </c>
      <c r="F4" s="207" t="s">
        <v>116</v>
      </c>
      <c r="G4" s="209" t="s">
        <v>200</v>
      </c>
      <c r="H4" s="211" t="s">
        <v>201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226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12"/>
      <c r="I5" s="205"/>
      <c r="J5" s="201"/>
      <c r="K5" s="197" t="s">
        <v>224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4"/>
      <c r="O105" s="194"/>
    </row>
    <row r="106" spans="3:15" ht="15.75">
      <c r="C106" s="111">
        <v>42061</v>
      </c>
      <c r="D106" s="34">
        <v>6003.3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42060</v>
      </c>
      <c r="D107" s="34">
        <v>1551.3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223" t="s">
        <v>155</v>
      </c>
      <c r="H108" s="223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f>138305956.27/1000</f>
        <v>138305.95627000002</v>
      </c>
      <c r="E109" s="73"/>
      <c r="F109" s="156" t="s">
        <v>147</v>
      </c>
      <c r="G109" s="191" t="s">
        <v>149</v>
      </c>
      <c r="H109" s="191"/>
      <c r="I109" s="107">
        <v>129396.23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 t="s">
        <v>205</v>
      </c>
      <c r="C3" s="184" t="s">
        <v>0</v>
      </c>
      <c r="D3" s="181" t="s">
        <v>216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220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219</v>
      </c>
      <c r="F4" s="207" t="s">
        <v>116</v>
      </c>
      <c r="G4" s="209" t="s">
        <v>173</v>
      </c>
      <c r="H4" s="230" t="s">
        <v>174</v>
      </c>
      <c r="I4" s="228" t="s">
        <v>217</v>
      </c>
      <c r="J4" s="226" t="s">
        <v>218</v>
      </c>
      <c r="K4" s="116" t="s">
        <v>172</v>
      </c>
      <c r="L4" s="121" t="s">
        <v>171</v>
      </c>
      <c r="M4" s="200"/>
      <c r="N4" s="202" t="s">
        <v>194</v>
      </c>
      <c r="O4" s="228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31"/>
      <c r="I5" s="229"/>
      <c r="J5" s="227"/>
      <c r="K5" s="197" t="s">
        <v>188</v>
      </c>
      <c r="L5" s="198"/>
      <c r="M5" s="201"/>
      <c r="N5" s="203"/>
      <c r="O5" s="229"/>
      <c r="P5" s="220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9"/>
      <c r="H102" s="199"/>
      <c r="I102" s="199"/>
      <c r="J102" s="19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4"/>
      <c r="O103" s="194"/>
    </row>
    <row r="104" spans="3:15" ht="15.75">
      <c r="C104" s="111">
        <v>42033</v>
      </c>
      <c r="D104" s="34">
        <v>2896.5</v>
      </c>
      <c r="F104" s="155" t="s">
        <v>166</v>
      </c>
      <c r="G104" s="191" t="s">
        <v>151</v>
      </c>
      <c r="H104" s="191"/>
      <c r="I104" s="106">
        <f>'січень '!I139</f>
        <v>8909.733</v>
      </c>
      <c r="J104" s="224" t="s">
        <v>161</v>
      </c>
      <c r="K104" s="224"/>
      <c r="L104" s="224"/>
      <c r="M104" s="224"/>
      <c r="N104" s="194"/>
      <c r="O104" s="194"/>
    </row>
    <row r="105" spans="3:15" ht="15.75">
      <c r="C105" s="111">
        <v>42032</v>
      </c>
      <c r="D105" s="34">
        <v>2838.1</v>
      </c>
      <c r="G105" s="223" t="s">
        <v>155</v>
      </c>
      <c r="H105" s="223"/>
      <c r="I105" s="103">
        <f>'січень '!I140</f>
        <v>0</v>
      </c>
      <c r="J105" s="225" t="s">
        <v>162</v>
      </c>
      <c r="K105" s="225"/>
      <c r="L105" s="225"/>
      <c r="M105" s="225"/>
      <c r="N105" s="194"/>
      <c r="O105" s="194"/>
    </row>
    <row r="106" spans="7:13" ht="15.75" customHeight="1">
      <c r="G106" s="191" t="s">
        <v>148</v>
      </c>
      <c r="H106" s="191"/>
      <c r="I106" s="103">
        <f>'січень '!I141</f>
        <v>0</v>
      </c>
      <c r="J106" s="224" t="s">
        <v>163</v>
      </c>
      <c r="K106" s="224"/>
      <c r="L106" s="224"/>
      <c r="M106" s="224"/>
    </row>
    <row r="107" spans="2:13" ht="18.75" customHeight="1">
      <c r="B107" s="189" t="s">
        <v>160</v>
      </c>
      <c r="C107" s="190"/>
      <c r="D107" s="108">
        <f>'січень '!D142</f>
        <v>132375.63</v>
      </c>
      <c r="E107" s="73"/>
      <c r="F107" s="156" t="s">
        <v>147</v>
      </c>
      <c r="G107" s="191" t="s">
        <v>149</v>
      </c>
      <c r="H107" s="191"/>
      <c r="I107" s="107">
        <f>'січень '!I142</f>
        <v>123465.893</v>
      </c>
      <c r="J107" s="224" t="s">
        <v>164</v>
      </c>
      <c r="K107" s="224"/>
      <c r="L107" s="224"/>
      <c r="M107" s="224"/>
    </row>
    <row r="108" spans="7:12" ht="9.75" customHeight="1">
      <c r="G108" s="185"/>
      <c r="H108" s="185"/>
      <c r="I108" s="90"/>
      <c r="J108" s="91"/>
      <c r="K108" s="91"/>
      <c r="L108" s="91"/>
    </row>
    <row r="109" spans="2:12" ht="22.5" customHeight="1" hidden="1">
      <c r="B109" s="186" t="s">
        <v>167</v>
      </c>
      <c r="C109" s="187"/>
      <c r="D109" s="110">
        <v>0</v>
      </c>
      <c r="E109" s="70" t="s">
        <v>104</v>
      </c>
      <c r="G109" s="185"/>
      <c r="H109" s="185"/>
      <c r="I109" s="90"/>
      <c r="J109" s="91"/>
      <c r="K109" s="91"/>
      <c r="L109" s="91"/>
    </row>
    <row r="110" spans="4:15" ht="15.75">
      <c r="D110" s="105"/>
      <c r="N110" s="185"/>
      <c r="O110" s="185"/>
    </row>
    <row r="111" spans="4:15" ht="15.75">
      <c r="D111" s="104"/>
      <c r="I111" s="34"/>
      <c r="N111" s="188"/>
      <c r="O111" s="188"/>
    </row>
    <row r="112" spans="14:15" ht="15.75">
      <c r="N112" s="185"/>
      <c r="O112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 t="s">
        <v>203</v>
      </c>
      <c r="C3" s="184" t="s">
        <v>0</v>
      </c>
      <c r="D3" s="181" t="s">
        <v>190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187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153</v>
      </c>
      <c r="F4" s="207" t="s">
        <v>116</v>
      </c>
      <c r="G4" s="209" t="s">
        <v>173</v>
      </c>
      <c r="H4" s="230" t="s">
        <v>174</v>
      </c>
      <c r="I4" s="228" t="s">
        <v>186</v>
      </c>
      <c r="J4" s="226" t="s">
        <v>189</v>
      </c>
      <c r="K4" s="116" t="s">
        <v>172</v>
      </c>
      <c r="L4" s="121" t="s">
        <v>171</v>
      </c>
      <c r="M4" s="200"/>
      <c r="N4" s="202" t="s">
        <v>194</v>
      </c>
      <c r="O4" s="228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31"/>
      <c r="I5" s="229"/>
      <c r="J5" s="227"/>
      <c r="K5" s="197" t="s">
        <v>188</v>
      </c>
      <c r="L5" s="198"/>
      <c r="M5" s="201"/>
      <c r="N5" s="203"/>
      <c r="O5" s="229"/>
      <c r="P5" s="220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9"/>
      <c r="H137" s="199"/>
      <c r="I137" s="199"/>
      <c r="J137" s="19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4"/>
      <c r="O138" s="194"/>
    </row>
    <row r="139" spans="3:15" ht="15.75">
      <c r="C139" s="111">
        <v>42033</v>
      </c>
      <c r="D139" s="34">
        <v>2896.5</v>
      </c>
      <c r="F139" s="155" t="s">
        <v>166</v>
      </c>
      <c r="G139" s="191" t="s">
        <v>151</v>
      </c>
      <c r="H139" s="191"/>
      <c r="I139" s="106">
        <f>8909.733</f>
        <v>8909.733</v>
      </c>
      <c r="J139" s="224" t="s">
        <v>161</v>
      </c>
      <c r="K139" s="224"/>
      <c r="L139" s="224"/>
      <c r="M139" s="224"/>
      <c r="N139" s="194"/>
      <c r="O139" s="194"/>
    </row>
    <row r="140" spans="3:15" ht="15.75">
      <c r="C140" s="111">
        <v>42032</v>
      </c>
      <c r="D140" s="34">
        <v>2838.1</v>
      </c>
      <c r="G140" s="223" t="s">
        <v>155</v>
      </c>
      <c r="H140" s="223"/>
      <c r="I140" s="103">
        <v>0</v>
      </c>
      <c r="J140" s="225" t="s">
        <v>162</v>
      </c>
      <c r="K140" s="225"/>
      <c r="L140" s="225"/>
      <c r="M140" s="225"/>
      <c r="N140" s="194"/>
      <c r="O140" s="194"/>
    </row>
    <row r="141" spans="7:13" ht="15.75" customHeight="1">
      <c r="G141" s="191" t="s">
        <v>148</v>
      </c>
      <c r="H141" s="191"/>
      <c r="I141" s="103">
        <v>0</v>
      </c>
      <c r="J141" s="224" t="s">
        <v>163</v>
      </c>
      <c r="K141" s="224"/>
      <c r="L141" s="224"/>
      <c r="M141" s="224"/>
    </row>
    <row r="142" spans="2:13" ht="18.75" customHeight="1">
      <c r="B142" s="189" t="s">
        <v>160</v>
      </c>
      <c r="C142" s="190"/>
      <c r="D142" s="108">
        <f>132375.63</f>
        <v>132375.63</v>
      </c>
      <c r="E142" s="73"/>
      <c r="F142" s="156" t="s">
        <v>147</v>
      </c>
      <c r="G142" s="191" t="s">
        <v>149</v>
      </c>
      <c r="H142" s="191"/>
      <c r="I142" s="107">
        <f>123465.893</f>
        <v>123465.893</v>
      </c>
      <c r="J142" s="224" t="s">
        <v>164</v>
      </c>
      <c r="K142" s="224"/>
      <c r="L142" s="224"/>
      <c r="M142" s="224"/>
    </row>
    <row r="143" spans="7:12" ht="9.75" customHeight="1">
      <c r="G143" s="185"/>
      <c r="H143" s="185"/>
      <c r="I143" s="90"/>
      <c r="J143" s="91"/>
      <c r="K143" s="91"/>
      <c r="L143" s="91"/>
    </row>
    <row r="144" spans="2:12" ht="22.5" customHeight="1" hidden="1">
      <c r="B144" s="186" t="s">
        <v>167</v>
      </c>
      <c r="C144" s="187"/>
      <c r="D144" s="110">
        <v>0</v>
      </c>
      <c r="E144" s="70" t="s">
        <v>104</v>
      </c>
      <c r="G144" s="185"/>
      <c r="H144" s="185"/>
      <c r="I144" s="90"/>
      <c r="J144" s="91"/>
      <c r="K144" s="91"/>
      <c r="L144" s="91"/>
    </row>
    <row r="145" spans="4:15" ht="15.75">
      <c r="D145" s="105"/>
      <c r="N145" s="185"/>
      <c r="O145" s="185"/>
    </row>
    <row r="146" spans="4:15" ht="15.75">
      <c r="D146" s="104"/>
      <c r="I146" s="34"/>
      <c r="N146" s="188"/>
      <c r="O146" s="188"/>
    </row>
    <row r="147" spans="14:15" ht="15.75">
      <c r="N147" s="185"/>
      <c r="O147" s="18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2015-03-12T08:10:27Z</cp:lastPrinted>
  <dcterms:created xsi:type="dcterms:W3CDTF">2003-07-28T11:27:56Z</dcterms:created>
  <dcterms:modified xsi:type="dcterms:W3CDTF">2015-03-27T12:17:37Z</dcterms:modified>
  <cp:category/>
  <cp:version/>
  <cp:contentType/>
  <cp:contentStatus/>
</cp:coreProperties>
</file>